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N6XPRT Dropbox\Daniel Vomhof III\Presentations\NAPARS online 03-2025 - Stiffness Calcs\Hand Calc Stiffness Values\"/>
    </mc:Choice>
  </mc:AlternateContent>
  <xr:revisionPtr revIDLastSave="0" documentId="13_ncr:1_{581AB52C-239C-4D6A-A841-DB9948A79708}" xr6:coauthVersionLast="47" xr6:coauthVersionMax="47" xr10:uidLastSave="{00000000-0000-0000-0000-000000000000}"/>
  <bookViews>
    <workbookView xWindow="135" yWindow="0" windowWidth="18045" windowHeight="11280" xr2:uid="{00000000-000D-0000-FFFF-FFFF00000000}"/>
  </bookViews>
  <sheets>
    <sheet name="Front" sheetId="1" r:id="rId1"/>
    <sheet name="Side" sheetId="2" r:id="rId2"/>
    <sheet name="Rear" sheetId="3" r:id="rId3"/>
    <sheet name="Sheet4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D12" i="3"/>
  <c r="H12" i="3" s="1"/>
  <c r="C11" i="3"/>
  <c r="D11" i="3" s="1"/>
  <c r="C10" i="3"/>
  <c r="D10" i="3" s="1"/>
  <c r="C31" i="3"/>
  <c r="F31" i="3" s="1"/>
  <c r="D27" i="3"/>
  <c r="E27" i="3" s="1"/>
  <c r="F27" i="3" s="1"/>
  <c r="D26" i="3"/>
  <c r="E26" i="3" s="1"/>
  <c r="D25" i="3"/>
  <c r="E25" i="3" s="1"/>
  <c r="C21" i="3"/>
  <c r="F21" i="3" s="1"/>
  <c r="C20" i="3"/>
  <c r="H21" i="3" s="1"/>
  <c r="C19" i="3"/>
  <c r="C18" i="3"/>
  <c r="F18" i="3" s="1"/>
  <c r="C17" i="3"/>
  <c r="C16" i="3"/>
  <c r="F16" i="3" s="1"/>
  <c r="D13" i="3"/>
  <c r="C8" i="3"/>
  <c r="C7" i="3"/>
  <c r="C5" i="3"/>
  <c r="C4" i="3"/>
  <c r="C26" i="2"/>
  <c r="F26" i="2" s="1"/>
  <c r="C21" i="2"/>
  <c r="F21" i="2" s="1"/>
  <c r="C20" i="2"/>
  <c r="C19" i="2"/>
  <c r="F19" i="2" s="1"/>
  <c r="C18" i="2"/>
  <c r="C17" i="2"/>
  <c r="F17" i="2" s="1"/>
  <c r="C16" i="2"/>
  <c r="D13" i="2"/>
  <c r="D12" i="2"/>
  <c r="H12" i="2" s="1"/>
  <c r="C11" i="2"/>
  <c r="D11" i="2" s="1"/>
  <c r="C10" i="2"/>
  <c r="D10" i="2" s="1"/>
  <c r="C8" i="2"/>
  <c r="C7" i="2"/>
  <c r="C5" i="2"/>
  <c r="C4" i="2"/>
  <c r="D13" i="1"/>
  <c r="D12" i="1"/>
  <c r="G12" i="1" s="1"/>
  <c r="C11" i="1"/>
  <c r="D11" i="1" s="1"/>
  <c r="C10" i="1"/>
  <c r="C8" i="1"/>
  <c r="C7" i="1"/>
  <c r="C5" i="1"/>
  <c r="C4" i="1"/>
  <c r="D27" i="1"/>
  <c r="E27" i="1" s="1"/>
  <c r="F27" i="1" s="1"/>
  <c r="D26" i="1"/>
  <c r="E26" i="1" s="1"/>
  <c r="H27" i="1" s="1"/>
  <c r="D25" i="1"/>
  <c r="E25" i="1" s="1"/>
  <c r="F25" i="1" s="1"/>
  <c r="C31" i="1"/>
  <c r="F31" i="1" s="1"/>
  <c r="C21" i="1"/>
  <c r="F21" i="1" s="1"/>
  <c r="C20" i="1"/>
  <c r="H21" i="1" s="1"/>
  <c r="C19" i="1"/>
  <c r="H20" i="1" s="1"/>
  <c r="C18" i="1"/>
  <c r="F18" i="1" s="1"/>
  <c r="C17" i="1"/>
  <c r="H18" i="1" s="1"/>
  <c r="C16" i="1"/>
  <c r="F16" i="1" s="1"/>
  <c r="H18" i="3" l="1"/>
  <c r="F17" i="3"/>
  <c r="H26" i="1"/>
  <c r="H28" i="1" s="1"/>
  <c r="C44" i="1"/>
  <c r="B44" i="1"/>
  <c r="H19" i="3"/>
  <c r="G11" i="3"/>
  <c r="H11" i="3" s="1"/>
  <c r="G11" i="2"/>
  <c r="H19" i="2"/>
  <c r="H20" i="2"/>
  <c r="H17" i="2"/>
  <c r="H18" i="2"/>
  <c r="F16" i="2"/>
  <c r="H27" i="3"/>
  <c r="F26" i="3"/>
  <c r="H26" i="3"/>
  <c r="H28" i="3" s="1"/>
  <c r="F25" i="3"/>
  <c r="H17" i="3"/>
  <c r="F20" i="3"/>
  <c r="F19" i="3"/>
  <c r="F22" i="3" s="1"/>
  <c r="H20" i="3"/>
  <c r="H22" i="2"/>
  <c r="F20" i="2"/>
  <c r="H21" i="2"/>
  <c r="F18" i="2"/>
  <c r="H19" i="1"/>
  <c r="D10" i="1"/>
  <c r="F20" i="1"/>
  <c r="H17" i="1"/>
  <c r="F17" i="1"/>
  <c r="F22" i="1" s="1"/>
  <c r="K22" i="1" s="1"/>
  <c r="B38" i="1" s="1"/>
  <c r="K31" i="1"/>
  <c r="C43" i="1" s="1"/>
  <c r="F19" i="1"/>
  <c r="F26" i="1"/>
  <c r="F28" i="1" s="1"/>
  <c r="K28" i="1" s="1"/>
  <c r="B40" i="1" s="1"/>
  <c r="F28" i="3" l="1"/>
  <c r="F22" i="2"/>
  <c r="H11" i="2"/>
  <c r="K26" i="2"/>
  <c r="C35" i="2" s="1"/>
  <c r="H22" i="1"/>
  <c r="C38" i="1"/>
  <c r="D38" i="1" s="1"/>
  <c r="B43" i="1"/>
  <c r="D43" i="1" s="1"/>
  <c r="B41" i="1"/>
  <c r="C37" i="1"/>
  <c r="D44" i="1"/>
  <c r="B37" i="1"/>
  <c r="C40" i="1"/>
  <c r="D40" i="1" s="1"/>
  <c r="C41" i="1"/>
  <c r="K22" i="3"/>
  <c r="C36" i="3" s="1"/>
  <c r="K28" i="3"/>
  <c r="C40" i="3" s="1"/>
  <c r="K31" i="3"/>
  <c r="C43" i="3" s="1"/>
  <c r="K22" i="2"/>
  <c r="H22" i="3"/>
  <c r="B35" i="2"/>
  <c r="C37" i="3" l="1"/>
  <c r="B36" i="3"/>
  <c r="D36" i="3" s="1"/>
  <c r="D37" i="1"/>
  <c r="D41" i="1"/>
  <c r="B37" i="3"/>
  <c r="D37" i="3" s="1"/>
  <c r="C42" i="3"/>
  <c r="B40" i="3"/>
  <c r="D40" i="3" s="1"/>
  <c r="B43" i="3"/>
  <c r="D43" i="3" s="1"/>
  <c r="B39" i="3"/>
  <c r="B42" i="3"/>
  <c r="D42" i="3" s="1"/>
  <c r="C39" i="3"/>
  <c r="B33" i="2"/>
  <c r="C33" i="2"/>
  <c r="D35" i="2"/>
  <c r="D39" i="3" l="1"/>
  <c r="D33" i="2"/>
</calcChain>
</file>

<file path=xl/sharedStrings.xml><?xml version="1.0" encoding="utf-8"?>
<sst xmlns="http://schemas.openxmlformats.org/spreadsheetml/2006/main" count="158" uniqueCount="50">
  <si>
    <t>Crush Depth (mm)</t>
  </si>
  <si>
    <t>Crush depth (in)</t>
  </si>
  <si>
    <t>DPD 1</t>
  </si>
  <si>
    <t>DPD 2</t>
  </si>
  <si>
    <t>DPD 3</t>
  </si>
  <si>
    <t>DPD 4</t>
  </si>
  <si>
    <t>DPD 5</t>
  </si>
  <si>
    <t>DPD 6</t>
  </si>
  <si>
    <t>Pre Test (mm)</t>
  </si>
  <si>
    <t>Post Test (mm)</t>
  </si>
  <si>
    <t>Left corner</t>
  </si>
  <si>
    <t>Center Line</t>
  </si>
  <si>
    <t>Right Corner</t>
  </si>
  <si>
    <t>Maximum</t>
  </si>
  <si>
    <t>NHTSA Crash Test #</t>
  </si>
  <si>
    <t>Vehicle</t>
  </si>
  <si>
    <t>Width</t>
  </si>
  <si>
    <t>mm</t>
  </si>
  <si>
    <t>inches</t>
  </si>
  <si>
    <t>Vehicle Weight</t>
  </si>
  <si>
    <t>Barrier Weight</t>
  </si>
  <si>
    <t>kilograms</t>
  </si>
  <si>
    <t>pounds</t>
  </si>
  <si>
    <t>Closing Speed</t>
  </si>
  <si>
    <t>Barrier Speed</t>
  </si>
  <si>
    <t>kph</t>
  </si>
  <si>
    <t>mph</t>
  </si>
  <si>
    <t>in/sec</t>
  </si>
  <si>
    <t>No Damage Speed</t>
  </si>
  <si>
    <t>2017 Toyota Corolla</t>
  </si>
  <si>
    <t>Indentation Length</t>
  </si>
  <si>
    <t>b0 =</t>
  </si>
  <si>
    <t>6 measurement avg</t>
  </si>
  <si>
    <t>Trapezoidal Avg</t>
  </si>
  <si>
    <t>crush depth =</t>
  </si>
  <si>
    <t>b1=</t>
  </si>
  <si>
    <t>DPD Width</t>
  </si>
  <si>
    <t>DPD Indentation</t>
  </si>
  <si>
    <t>Pre-Post Width</t>
  </si>
  <si>
    <t>Pre-Post Indentation</t>
  </si>
  <si>
    <t>Max Width</t>
  </si>
  <si>
    <t>Max Indentation</t>
  </si>
  <si>
    <t>A</t>
  </si>
  <si>
    <t>B</t>
  </si>
  <si>
    <t>G</t>
  </si>
  <si>
    <t>KEES =</t>
  </si>
  <si>
    <t>Front Stiffness</t>
  </si>
  <si>
    <t>Side Stiffness</t>
  </si>
  <si>
    <t>Rear Stiffness</t>
  </si>
  <si>
    <t>Gravity - ft/s/s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</si>
</sst>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workbookViewId="0">
      <selection activeCell="F7" sqref="F7"/>
    </sheetView>
  </sheetViews>
  <sheetFormatPr defaultRowHeight="15" x14ac:dyDescent="0.25"/>
  <cols>
    <col min="1" max="1" width="19.7109375" bestFit="1" customWidth="1"/>
    <col min="2" max="2" width="18.42578125" bestFit="1" customWidth="1"/>
    <col min="3" max="3" width="15.42578125" bestFit="1" customWidth="1"/>
    <col min="4" max="4" width="17.42578125" bestFit="1" customWidth="1"/>
    <col min="5" max="5" width="16.7109375" bestFit="1" customWidth="1"/>
    <col min="6" max="6" width="18.5703125" bestFit="1" customWidth="1"/>
    <col min="7" max="7" width="6.28515625" bestFit="1" customWidth="1"/>
    <col min="8" max="8" width="15.140625" bestFit="1" customWidth="1"/>
    <col min="10" max="10" width="5.42578125" bestFit="1" customWidth="1"/>
    <col min="11" max="11" width="6.28515625" bestFit="1" customWidth="1"/>
  </cols>
  <sheetData>
    <row r="1" spans="1:8" x14ac:dyDescent="0.25">
      <c r="A1" t="s">
        <v>14</v>
      </c>
      <c r="B1" s="2">
        <v>9984</v>
      </c>
    </row>
    <row r="2" spans="1:8" x14ac:dyDescent="0.25">
      <c r="A2" t="s">
        <v>15</v>
      </c>
      <c r="B2" s="2" t="s">
        <v>29</v>
      </c>
    </row>
    <row r="3" spans="1:8" x14ac:dyDescent="0.25">
      <c r="B3" t="s">
        <v>17</v>
      </c>
      <c r="C3" t="s">
        <v>18</v>
      </c>
    </row>
    <row r="4" spans="1:8" x14ac:dyDescent="0.25">
      <c r="A4" t="s">
        <v>30</v>
      </c>
      <c r="B4" s="2">
        <v>1524</v>
      </c>
      <c r="C4" s="1">
        <f>B4/25.4</f>
        <v>60</v>
      </c>
    </row>
    <row r="5" spans="1:8" x14ac:dyDescent="0.25">
      <c r="A5" t="s">
        <v>16</v>
      </c>
      <c r="B5" s="2">
        <v>1765</v>
      </c>
      <c r="C5" s="1">
        <f t="shared" ref="C5" si="0">B5/25.4</f>
        <v>69.488188976377955</v>
      </c>
    </row>
    <row r="6" spans="1:8" x14ac:dyDescent="0.25">
      <c r="B6" t="s">
        <v>21</v>
      </c>
      <c r="C6" t="s">
        <v>22</v>
      </c>
    </row>
    <row r="7" spans="1:8" x14ac:dyDescent="0.25">
      <c r="A7" t="s">
        <v>19</v>
      </c>
      <c r="B7" s="2">
        <v>1488</v>
      </c>
      <c r="C7" s="1">
        <f>B7*2.20462</f>
        <v>3280.4745599999997</v>
      </c>
    </row>
    <row r="8" spans="1:8" x14ac:dyDescent="0.25">
      <c r="A8" t="s">
        <v>20</v>
      </c>
      <c r="B8" s="2"/>
      <c r="C8" s="1">
        <f>B8*2.20462</f>
        <v>0</v>
      </c>
    </row>
    <row r="9" spans="1:8" x14ac:dyDescent="0.25">
      <c r="B9" t="s">
        <v>25</v>
      </c>
      <c r="C9" t="s">
        <v>26</v>
      </c>
      <c r="D9" s="1" t="s">
        <v>27</v>
      </c>
    </row>
    <row r="10" spans="1:8" x14ac:dyDescent="0.25">
      <c r="A10" t="s">
        <v>23</v>
      </c>
      <c r="B10" s="2">
        <v>56.65</v>
      </c>
      <c r="C10" s="1">
        <f>B10/1.609344</f>
        <v>35.200678040244966</v>
      </c>
      <c r="D10" s="1">
        <f>C10*17.6</f>
        <v>619.53193350831145</v>
      </c>
    </row>
    <row r="11" spans="1:8" x14ac:dyDescent="0.25">
      <c r="A11" t="s">
        <v>24</v>
      </c>
      <c r="B11" s="2"/>
      <c r="C11" s="1">
        <f>B11/1.609344</f>
        <v>0</v>
      </c>
      <c r="D11" s="1">
        <f>C11*17.6</f>
        <v>0</v>
      </c>
    </row>
    <row r="12" spans="1:8" ht="18.75" x14ac:dyDescent="0.3">
      <c r="A12" t="s">
        <v>28</v>
      </c>
      <c r="C12" s="2">
        <v>5</v>
      </c>
      <c r="D12" s="1">
        <f>C12*17.6</f>
        <v>88</v>
      </c>
      <c r="F12" s="3" t="s">
        <v>31</v>
      </c>
      <c r="G12" s="4">
        <f>D12</f>
        <v>88</v>
      </c>
    </row>
    <row r="13" spans="1:8" ht="18.75" x14ac:dyDescent="0.3">
      <c r="A13" t="s">
        <v>49</v>
      </c>
      <c r="C13" s="2">
        <v>32.200000000000003</v>
      </c>
      <c r="D13" s="1">
        <f>C13*12</f>
        <v>386.40000000000003</v>
      </c>
      <c r="F13" s="3"/>
      <c r="G13" s="4"/>
    </row>
    <row r="15" spans="1:8" x14ac:dyDescent="0.25">
      <c r="B15" t="s">
        <v>0</v>
      </c>
      <c r="C15" t="s">
        <v>1</v>
      </c>
      <c r="F15" t="s">
        <v>32</v>
      </c>
      <c r="H15" t="s">
        <v>33</v>
      </c>
    </row>
    <row r="16" spans="1:8" x14ac:dyDescent="0.25">
      <c r="A16" t="s">
        <v>2</v>
      </c>
      <c r="B16" s="2">
        <v>417</v>
      </c>
      <c r="C16" s="1">
        <f>B16/25.4</f>
        <v>16.41732283464567</v>
      </c>
      <c r="F16" s="1">
        <f>C16</f>
        <v>16.41732283464567</v>
      </c>
    </row>
    <row r="17" spans="1:11" x14ac:dyDescent="0.25">
      <c r="A17" t="s">
        <v>3</v>
      </c>
      <c r="B17" s="2">
        <v>588</v>
      </c>
      <c r="C17" s="1">
        <f t="shared" ref="C17:C21" si="1">B17/25.4</f>
        <v>23.1496062992126</v>
      </c>
      <c r="F17" s="1">
        <f>C17*2</f>
        <v>46.2992125984252</v>
      </c>
      <c r="H17" s="1">
        <f>(C16+C17)/2</f>
        <v>19.783464566929133</v>
      </c>
    </row>
    <row r="18" spans="1:11" x14ac:dyDescent="0.25">
      <c r="A18" t="s">
        <v>4</v>
      </c>
      <c r="B18" s="2">
        <v>686</v>
      </c>
      <c r="C18" s="1">
        <f t="shared" si="1"/>
        <v>27.007874015748033</v>
      </c>
      <c r="F18" s="1">
        <f t="shared" ref="F18:F20" si="2">C18*2</f>
        <v>54.015748031496067</v>
      </c>
      <c r="H18" s="1">
        <f t="shared" ref="H18:H21" si="3">(C17+C18)/2</f>
        <v>25.078740157480318</v>
      </c>
    </row>
    <row r="19" spans="1:11" x14ac:dyDescent="0.25">
      <c r="A19" t="s">
        <v>5</v>
      </c>
      <c r="B19" s="2">
        <v>675</v>
      </c>
      <c r="C19" s="1">
        <f t="shared" si="1"/>
        <v>26.5748031496063</v>
      </c>
      <c r="F19" s="1">
        <f t="shared" si="2"/>
        <v>53.1496062992126</v>
      </c>
      <c r="H19" s="1">
        <f t="shared" si="3"/>
        <v>26.791338582677167</v>
      </c>
    </row>
    <row r="20" spans="1:11" x14ac:dyDescent="0.25">
      <c r="A20" t="s">
        <v>6</v>
      </c>
      <c r="B20" s="2">
        <v>592</v>
      </c>
      <c r="C20" s="1">
        <f t="shared" si="1"/>
        <v>23.30708661417323</v>
      </c>
      <c r="F20" s="1">
        <f t="shared" si="2"/>
        <v>46.614173228346459</v>
      </c>
      <c r="H20" s="1">
        <f t="shared" si="3"/>
        <v>24.940944881889763</v>
      </c>
    </row>
    <row r="21" spans="1:11" x14ac:dyDescent="0.25">
      <c r="A21" t="s">
        <v>7</v>
      </c>
      <c r="B21" s="2">
        <v>402</v>
      </c>
      <c r="C21" s="1">
        <f t="shared" si="1"/>
        <v>15.826771653543307</v>
      </c>
      <c r="F21" s="1">
        <f t="shared" ref="F21" si="4">C21</f>
        <v>15.826771653543307</v>
      </c>
      <c r="H21" s="1">
        <f t="shared" si="3"/>
        <v>19.566929133858267</v>
      </c>
    </row>
    <row r="22" spans="1:11" ht="18.75" x14ac:dyDescent="0.3">
      <c r="E22" s="3" t="s">
        <v>34</v>
      </c>
      <c r="F22" s="4">
        <f>SUM(F16:F21)/10</f>
        <v>23.23228346456693</v>
      </c>
      <c r="G22" s="3"/>
      <c r="H22" s="4">
        <f>AVERAGE(H17:H21)</f>
        <v>23.23228346456693</v>
      </c>
      <c r="J22" s="3" t="s">
        <v>35</v>
      </c>
      <c r="K22" s="4">
        <f>((C10*17.6)-G12)/F22</f>
        <v>22.879022387919186</v>
      </c>
    </row>
    <row r="24" spans="1:11" x14ac:dyDescent="0.25">
      <c r="B24" t="s">
        <v>8</v>
      </c>
      <c r="C24" t="s">
        <v>9</v>
      </c>
      <c r="D24" t="s">
        <v>0</v>
      </c>
      <c r="E24" t="s">
        <v>1</v>
      </c>
    </row>
    <row r="25" spans="1:11" x14ac:dyDescent="0.25">
      <c r="A25" t="s">
        <v>10</v>
      </c>
      <c r="B25" s="2">
        <v>4367</v>
      </c>
      <c r="C25" s="2">
        <v>3950</v>
      </c>
      <c r="D25">
        <f>B25-C25</f>
        <v>417</v>
      </c>
      <c r="E25" s="1">
        <f>D25/25.4</f>
        <v>16.41732283464567</v>
      </c>
      <c r="F25" s="1">
        <f>E25</f>
        <v>16.41732283464567</v>
      </c>
    </row>
    <row r="26" spans="1:11" x14ac:dyDescent="0.25">
      <c r="A26" t="s">
        <v>11</v>
      </c>
      <c r="B26" s="2">
        <v>4650</v>
      </c>
      <c r="C26" s="2">
        <v>3912</v>
      </c>
      <c r="D26">
        <f t="shared" ref="D26:D27" si="5">B26-C26</f>
        <v>738</v>
      </c>
      <c r="E26" s="1">
        <f t="shared" ref="E26:E27" si="6">D26/25.4</f>
        <v>29.055118110236222</v>
      </c>
      <c r="F26" s="1">
        <f>E26*2</f>
        <v>58.110236220472444</v>
      </c>
      <c r="H26" s="1">
        <f>(E25+E26)/2</f>
        <v>22.736220472440948</v>
      </c>
    </row>
    <row r="27" spans="1:11" x14ac:dyDescent="0.25">
      <c r="A27" t="s">
        <v>12</v>
      </c>
      <c r="B27" s="2">
        <v>4366</v>
      </c>
      <c r="C27" s="2">
        <v>3964</v>
      </c>
      <c r="D27">
        <f t="shared" si="5"/>
        <v>402</v>
      </c>
      <c r="E27" s="1">
        <f t="shared" si="6"/>
        <v>15.826771653543307</v>
      </c>
      <c r="F27" s="1">
        <f t="shared" ref="F27" si="7">E27</f>
        <v>15.826771653543307</v>
      </c>
      <c r="H27" s="1">
        <f>(E26+E27)/2</f>
        <v>22.440944881889763</v>
      </c>
    </row>
    <row r="28" spans="1:11" ht="18.75" x14ac:dyDescent="0.3">
      <c r="E28" s="3" t="s">
        <v>34</v>
      </c>
      <c r="F28" s="4">
        <f>SUM(F25:F27)/4</f>
        <v>22.588582677165356</v>
      </c>
      <c r="G28" s="3"/>
      <c r="H28" s="4">
        <f>AVERAGE(H26:H27)</f>
        <v>22.588582677165356</v>
      </c>
      <c r="J28" s="3" t="s">
        <v>35</v>
      </c>
      <c r="K28" s="4">
        <f>((C10*17.6)-D12)/F28</f>
        <v>23.530999757927862</v>
      </c>
    </row>
    <row r="30" spans="1:11" x14ac:dyDescent="0.25">
      <c r="B30" t="s">
        <v>0</v>
      </c>
      <c r="C30" t="s">
        <v>1</v>
      </c>
    </row>
    <row r="31" spans="1:11" ht="18.75" x14ac:dyDescent="0.3">
      <c r="A31" t="s">
        <v>13</v>
      </c>
      <c r="B31" s="2">
        <v>738</v>
      </c>
      <c r="C31" s="1">
        <f>B31/25.4</f>
        <v>29.055118110236222</v>
      </c>
      <c r="E31" s="3" t="s">
        <v>34</v>
      </c>
      <c r="F31" s="4">
        <f>C31</f>
        <v>29.055118110236222</v>
      </c>
      <c r="J31" s="3" t="s">
        <v>35</v>
      </c>
      <c r="K31" s="4">
        <f>((C10*17.6)-D12)/F31</f>
        <v>18.293917494730501</v>
      </c>
    </row>
    <row r="32" spans="1:11" ht="18.75" x14ac:dyDescent="0.3">
      <c r="B32" s="2"/>
      <c r="C32" s="1"/>
      <c r="E32" s="3"/>
      <c r="F32" s="4"/>
      <c r="J32" s="3"/>
      <c r="K32" s="4"/>
    </row>
    <row r="33" spans="1:11" ht="18.75" x14ac:dyDescent="0.3">
      <c r="B33" s="2"/>
      <c r="C33" s="1"/>
      <c r="E33" s="3"/>
      <c r="F33" s="4"/>
      <c r="J33" s="3"/>
      <c r="K33" s="4"/>
    </row>
    <row r="34" spans="1:11" ht="18.75" x14ac:dyDescent="0.3">
      <c r="B34" s="2"/>
      <c r="C34" s="1"/>
      <c r="E34" s="3"/>
      <c r="F34" s="4"/>
      <c r="J34" s="3"/>
      <c r="K34" s="4"/>
    </row>
    <row r="35" spans="1:11" ht="21" x14ac:dyDescent="0.35">
      <c r="A35" s="8" t="s">
        <v>46</v>
      </c>
      <c r="B35" s="8"/>
      <c r="C35" s="8"/>
      <c r="D35" s="8"/>
    </row>
    <row r="36" spans="1:11" ht="21" x14ac:dyDescent="0.35">
      <c r="A36" s="8"/>
      <c r="B36" s="9" t="s">
        <v>42</v>
      </c>
      <c r="C36" s="9" t="s">
        <v>43</v>
      </c>
      <c r="D36" s="9" t="s">
        <v>44</v>
      </c>
    </row>
    <row r="37" spans="1:11" ht="15.75" x14ac:dyDescent="0.25">
      <c r="A37" s="5" t="s">
        <v>36</v>
      </c>
      <c r="B37" s="7">
        <f>(C$7*G$12*K$22)/(D$13*C5)</f>
        <v>245.9850418102894</v>
      </c>
      <c r="C37" s="7">
        <f>(C$7*K$22*K$22)/(D$13*C5)</f>
        <v>63.953378166714181</v>
      </c>
      <c r="D37" s="7">
        <f>(B37*B37)/(2*C37)</f>
        <v>473.06837049854829</v>
      </c>
    </row>
    <row r="38" spans="1:11" ht="15.75" x14ac:dyDescent="0.25">
      <c r="A38" s="5" t="s">
        <v>37</v>
      </c>
      <c r="B38" s="7">
        <f>(C$7*G$12*K$22)/(D$13*C4)</f>
        <v>284.88425117792701</v>
      </c>
      <c r="C38" s="7">
        <f>(C$7*K$22*K$22)/(D$13*C4)</f>
        <v>74.066740462106651</v>
      </c>
      <c r="D38" s="7">
        <f>(B38*B38)/(2*C38)</f>
        <v>547.87773879917165</v>
      </c>
    </row>
    <row r="39" spans="1:11" ht="15.75" x14ac:dyDescent="0.25">
      <c r="A39" s="5"/>
      <c r="B39" s="6"/>
      <c r="C39" s="7"/>
      <c r="D39" s="7"/>
    </row>
    <row r="40" spans="1:11" ht="15.75" x14ac:dyDescent="0.25">
      <c r="A40" s="5" t="s">
        <v>38</v>
      </c>
      <c r="B40" s="7">
        <f>(C$7*G$12*K$28)/(D$13*C5)</f>
        <v>252.99481162919699</v>
      </c>
      <c r="C40" s="7">
        <f>(C$7*K$28*K$28)/(D$13*C5)</f>
        <v>67.650236945495905</v>
      </c>
      <c r="D40" s="7">
        <f t="shared" ref="D40:D41" si="8">(B40*B40)/(2*C40)</f>
        <v>473.06837049854823</v>
      </c>
    </row>
    <row r="41" spans="1:11" ht="15.75" x14ac:dyDescent="0.25">
      <c r="A41" s="5" t="s">
        <v>39</v>
      </c>
      <c r="B41" s="7">
        <f>(C$7*G$12*K$28)/(D$13*C4)</f>
        <v>293.00252134221307</v>
      </c>
      <c r="C41" s="7">
        <f>(C$7*K$28*K$28)/(D$13*C4)</f>
        <v>78.348207486089407</v>
      </c>
      <c r="D41" s="7">
        <f t="shared" si="8"/>
        <v>547.87773879917188</v>
      </c>
    </row>
    <row r="42" spans="1:11" ht="15.75" x14ac:dyDescent="0.25">
      <c r="A42" s="5"/>
      <c r="B42" s="6"/>
      <c r="C42" s="7"/>
      <c r="D42" s="7"/>
    </row>
    <row r="43" spans="1:11" ht="15.75" x14ac:dyDescent="0.25">
      <c r="A43" s="5" t="s">
        <v>40</v>
      </c>
      <c r="B43" s="7">
        <f>(C$7*G$12*K$31)/(D$13*C5)</f>
        <v>196.68803952879642</v>
      </c>
      <c r="C43" s="7">
        <f>(C$7*K$31*K$31)/(D$13*C5)</f>
        <v>40.888576901591961</v>
      </c>
      <c r="D43" s="7">
        <f t="shared" ref="D43:D44" si="9">(B43*B43)/(2*C43)</f>
        <v>473.06837049854835</v>
      </c>
    </row>
    <row r="44" spans="1:11" ht="15.75" x14ac:dyDescent="0.25">
      <c r="A44" s="5" t="s">
        <v>41</v>
      </c>
      <c r="B44" s="7">
        <f>(C$7*G$12*K$31)/(D$13*C4)</f>
        <v>227.7915943361717</v>
      </c>
      <c r="C44" s="7">
        <f>(C$7*K$31*K$31)/(D$13*C4)</f>
        <v>47.354552645216415</v>
      </c>
      <c r="D44" s="7">
        <f t="shared" si="9"/>
        <v>547.87773879917177</v>
      </c>
    </row>
  </sheetData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workbookViewId="0">
      <selection activeCell="B22" sqref="B22"/>
    </sheetView>
  </sheetViews>
  <sheetFormatPr defaultRowHeight="15" x14ac:dyDescent="0.25"/>
  <cols>
    <col min="1" max="1" width="19.7109375" bestFit="1" customWidth="1"/>
    <col min="2" max="2" width="18.42578125" bestFit="1" customWidth="1"/>
    <col min="3" max="3" width="15.42578125" bestFit="1" customWidth="1"/>
    <col min="4" max="4" width="17.42578125" bestFit="1" customWidth="1"/>
    <col min="5" max="5" width="16.7109375" bestFit="1" customWidth="1"/>
    <col min="6" max="6" width="18.5703125" bestFit="1" customWidth="1"/>
    <col min="7" max="7" width="6.28515625" bestFit="1" customWidth="1"/>
    <col min="8" max="8" width="15.140625" bestFit="1" customWidth="1"/>
    <col min="10" max="10" width="5.42578125" bestFit="1" customWidth="1"/>
    <col min="11" max="11" width="10.85546875" bestFit="1" customWidth="1"/>
  </cols>
  <sheetData>
    <row r="1" spans="1:8" x14ac:dyDescent="0.25">
      <c r="A1" t="s">
        <v>14</v>
      </c>
      <c r="B1" s="2">
        <v>9986</v>
      </c>
    </row>
    <row r="2" spans="1:8" x14ac:dyDescent="0.25">
      <c r="A2" t="s">
        <v>15</v>
      </c>
      <c r="B2" s="2" t="s">
        <v>29</v>
      </c>
    </row>
    <row r="3" spans="1:8" x14ac:dyDescent="0.25">
      <c r="B3" t="s">
        <v>17</v>
      </c>
      <c r="C3" t="s">
        <v>18</v>
      </c>
    </row>
    <row r="4" spans="1:8" x14ac:dyDescent="0.25">
      <c r="A4" t="s">
        <v>30</v>
      </c>
      <c r="B4" s="2">
        <v>2700</v>
      </c>
      <c r="C4" s="1">
        <f>B4/25.4</f>
        <v>106.2992125984252</v>
      </c>
    </row>
    <row r="5" spans="1:8" x14ac:dyDescent="0.25">
      <c r="A5" t="s">
        <v>16</v>
      </c>
      <c r="B5" s="2">
        <v>1768</v>
      </c>
      <c r="C5" s="1">
        <f t="shared" ref="C5" si="0">B5/25.4</f>
        <v>69.606299212598429</v>
      </c>
    </row>
    <row r="6" spans="1:8" x14ac:dyDescent="0.25">
      <c r="B6" t="s">
        <v>21</v>
      </c>
      <c r="C6" t="s">
        <v>22</v>
      </c>
    </row>
    <row r="7" spans="1:8" x14ac:dyDescent="0.25">
      <c r="A7" t="s">
        <v>19</v>
      </c>
      <c r="B7" s="2">
        <v>1474</v>
      </c>
      <c r="C7" s="1">
        <f>B7*2.20462</f>
        <v>3249.6098799999995</v>
      </c>
    </row>
    <row r="8" spans="1:8" x14ac:dyDescent="0.25">
      <c r="A8" t="s">
        <v>20</v>
      </c>
      <c r="B8" s="2">
        <v>1363</v>
      </c>
      <c r="C8" s="1">
        <f>B8*2.20462</f>
        <v>3004.8970599999998</v>
      </c>
    </row>
    <row r="9" spans="1:8" x14ac:dyDescent="0.25">
      <c r="B9" t="s">
        <v>25</v>
      </c>
      <c r="C9" t="s">
        <v>26</v>
      </c>
      <c r="D9" s="1" t="s">
        <v>27</v>
      </c>
    </row>
    <row r="10" spans="1:8" x14ac:dyDescent="0.25">
      <c r="A10" t="s">
        <v>23</v>
      </c>
      <c r="B10" s="2">
        <v>0</v>
      </c>
      <c r="C10" s="1">
        <f>B10/1.609344</f>
        <v>0</v>
      </c>
      <c r="D10" s="1">
        <f>C10*17.6</f>
        <v>0</v>
      </c>
      <c r="G10" t="s">
        <v>26</v>
      </c>
      <c r="H10" s="1" t="s">
        <v>27</v>
      </c>
    </row>
    <row r="11" spans="1:8" x14ac:dyDescent="0.25">
      <c r="A11" t="s">
        <v>24</v>
      </c>
      <c r="B11" s="2">
        <v>62.55</v>
      </c>
      <c r="C11" s="1">
        <f>B11/1.609344</f>
        <v>38.866768074445233</v>
      </c>
      <c r="D11" s="1">
        <f>C11*17.6</f>
        <v>684.05511811023609</v>
      </c>
      <c r="F11" t="s">
        <v>45</v>
      </c>
      <c r="G11">
        <f>((C8*C11*C11)/(C8+C7))^0.5</f>
        <v>26.939944014051111</v>
      </c>
      <c r="H11" s="1">
        <f>G11*17.6</f>
        <v>474.14301464729959</v>
      </c>
    </row>
    <row r="12" spans="1:8" ht="18.75" x14ac:dyDescent="0.3">
      <c r="A12" t="s">
        <v>28</v>
      </c>
      <c r="C12" s="2">
        <v>2</v>
      </c>
      <c r="D12" s="1">
        <f>C12*17.6</f>
        <v>35.200000000000003</v>
      </c>
      <c r="F12" s="3" t="s">
        <v>31</v>
      </c>
      <c r="H12" s="4">
        <f>D12</f>
        <v>35.200000000000003</v>
      </c>
    </row>
    <row r="13" spans="1:8" ht="18.75" x14ac:dyDescent="0.3">
      <c r="A13" t="s">
        <v>49</v>
      </c>
      <c r="C13" s="2">
        <v>32.200000000000003</v>
      </c>
      <c r="D13" s="1">
        <f>C13*12</f>
        <v>386.40000000000003</v>
      </c>
      <c r="F13" s="3"/>
      <c r="G13" s="4"/>
    </row>
    <row r="15" spans="1:8" x14ac:dyDescent="0.25">
      <c r="B15" t="s">
        <v>0</v>
      </c>
      <c r="C15" t="s">
        <v>1</v>
      </c>
      <c r="F15" t="s">
        <v>32</v>
      </c>
      <c r="H15" t="s">
        <v>33</v>
      </c>
    </row>
    <row r="16" spans="1:8" x14ac:dyDescent="0.25">
      <c r="A16" t="s">
        <v>2</v>
      </c>
      <c r="B16" s="2">
        <v>2</v>
      </c>
      <c r="C16" s="1">
        <f>B16/25.4</f>
        <v>7.874015748031496E-2</v>
      </c>
      <c r="F16" s="1">
        <f>C16</f>
        <v>7.874015748031496E-2</v>
      </c>
    </row>
    <row r="17" spans="1:11" x14ac:dyDescent="0.25">
      <c r="A17" t="s">
        <v>3</v>
      </c>
      <c r="B17" s="2">
        <v>156</v>
      </c>
      <c r="C17" s="1">
        <f t="shared" ref="C17:C22" si="1">B17/25.4</f>
        <v>6.1417322834645676</v>
      </c>
      <c r="F17" s="1">
        <f>C17*2</f>
        <v>12.283464566929135</v>
      </c>
      <c r="H17" s="1">
        <f>(C16+C17)/2</f>
        <v>3.1102362204724412</v>
      </c>
    </row>
    <row r="18" spans="1:11" x14ac:dyDescent="0.25">
      <c r="A18" t="s">
        <v>4</v>
      </c>
      <c r="B18" s="2">
        <v>159</v>
      </c>
      <c r="C18" s="1">
        <f t="shared" si="1"/>
        <v>6.2598425196850398</v>
      </c>
      <c r="F18" s="1">
        <f t="shared" ref="F18:F20" si="2">C18*2</f>
        <v>12.51968503937008</v>
      </c>
      <c r="H18" s="1">
        <f t="shared" ref="H18:H21" si="3">(C17+C18)/2</f>
        <v>6.2007874015748037</v>
      </c>
    </row>
    <row r="19" spans="1:11" x14ac:dyDescent="0.25">
      <c r="A19" t="s">
        <v>5</v>
      </c>
      <c r="B19" s="2">
        <v>201</v>
      </c>
      <c r="C19" s="1">
        <f t="shared" si="1"/>
        <v>7.9133858267716537</v>
      </c>
      <c r="F19" s="1">
        <f t="shared" si="2"/>
        <v>15.826771653543307</v>
      </c>
      <c r="H19" s="1">
        <f t="shared" si="3"/>
        <v>7.0866141732283463</v>
      </c>
    </row>
    <row r="20" spans="1:11" x14ac:dyDescent="0.25">
      <c r="A20" t="s">
        <v>6</v>
      </c>
      <c r="B20" s="2">
        <v>182</v>
      </c>
      <c r="C20" s="1">
        <f t="shared" si="1"/>
        <v>7.165354330708662</v>
      </c>
      <c r="F20" s="1">
        <f t="shared" si="2"/>
        <v>14.330708661417324</v>
      </c>
      <c r="H20" s="1">
        <f t="shared" si="3"/>
        <v>7.5393700787401574</v>
      </c>
    </row>
    <row r="21" spans="1:11" x14ac:dyDescent="0.25">
      <c r="A21" t="s">
        <v>7</v>
      </c>
      <c r="B21" s="2">
        <v>4</v>
      </c>
      <c r="C21" s="1">
        <f t="shared" si="1"/>
        <v>0.15748031496062992</v>
      </c>
      <c r="F21" s="1">
        <f t="shared" ref="F21" si="4">C21</f>
        <v>0.15748031496062992</v>
      </c>
      <c r="H21" s="1">
        <f t="shared" si="3"/>
        <v>3.6614173228346458</v>
      </c>
    </row>
    <row r="22" spans="1:11" ht="18.75" x14ac:dyDescent="0.3">
      <c r="B22" s="2">
        <v>1363</v>
      </c>
      <c r="C22" s="1">
        <f t="shared" si="1"/>
        <v>53.661417322834652</v>
      </c>
      <c r="E22" s="3" t="s">
        <v>34</v>
      </c>
      <c r="F22" s="4">
        <f>SUM(F16:F21)/10</f>
        <v>5.5196850393700796</v>
      </c>
      <c r="G22" s="3"/>
      <c r="H22" s="4">
        <f>AVERAGE(H17:H21)</f>
        <v>5.5196850393700787</v>
      </c>
      <c r="J22" s="3" t="s">
        <v>35</v>
      </c>
      <c r="K22" s="4">
        <f>((G11*17.6)-H12)/F22</f>
        <v>79.523199515273959</v>
      </c>
    </row>
    <row r="25" spans="1:11" x14ac:dyDescent="0.25">
      <c r="B25" t="s">
        <v>0</v>
      </c>
      <c r="C25" t="s">
        <v>1</v>
      </c>
    </row>
    <row r="26" spans="1:11" ht="18.75" x14ac:dyDescent="0.3">
      <c r="A26" t="s">
        <v>13</v>
      </c>
      <c r="B26" s="2">
        <v>205</v>
      </c>
      <c r="C26" s="1">
        <f>B26/25.4</f>
        <v>8.0708661417322833</v>
      </c>
      <c r="E26" s="3" t="s">
        <v>34</v>
      </c>
      <c r="F26" s="4">
        <f>C26</f>
        <v>8.0708661417322833</v>
      </c>
      <c r="J26" s="3" t="s">
        <v>35</v>
      </c>
      <c r="K26" s="4">
        <f>((G11*17.6)-D12)/F26</f>
        <v>54.386110107519073</v>
      </c>
    </row>
    <row r="30" spans="1:11" ht="21" x14ac:dyDescent="0.35">
      <c r="A30" s="8" t="s">
        <v>47</v>
      </c>
      <c r="B30" s="8"/>
      <c r="C30" s="8"/>
      <c r="D30" s="8"/>
    </row>
    <row r="31" spans="1:11" ht="21" x14ac:dyDescent="0.35">
      <c r="A31" s="8"/>
      <c r="B31" s="9" t="s">
        <v>42</v>
      </c>
      <c r="C31" s="9" t="s">
        <v>43</v>
      </c>
      <c r="D31" s="9" t="s">
        <v>44</v>
      </c>
    </row>
    <row r="32" spans="1:11" ht="15.75" x14ac:dyDescent="0.25">
      <c r="A32" s="5"/>
      <c r="B32" s="7"/>
      <c r="C32" s="7"/>
      <c r="D32" s="7"/>
    </row>
    <row r="33" spans="1:4" ht="15.75" x14ac:dyDescent="0.25">
      <c r="A33" s="5" t="s">
        <v>37</v>
      </c>
      <c r="B33" s="7">
        <f>(C$7*H$12*K$22)/(D$13*C4)</f>
        <v>221.46268945213492</v>
      </c>
      <c r="C33" s="7">
        <f>(C$7*K$22*K$22)/(D$13*C4)</f>
        <v>500.32447836622953</v>
      </c>
      <c r="D33" s="7">
        <f>(B33*B33)/(2*C33)</f>
        <v>49.013914909308184</v>
      </c>
    </row>
    <row r="34" spans="1:4" ht="15.75" x14ac:dyDescent="0.25">
      <c r="A34" s="5"/>
      <c r="B34" s="6"/>
      <c r="C34" s="7"/>
      <c r="D34" s="7"/>
    </row>
    <row r="35" spans="1:4" ht="15.75" x14ac:dyDescent="0.25">
      <c r="A35" s="5" t="s">
        <v>41</v>
      </c>
      <c r="B35" s="7">
        <f>(C$7*H$12*K$26)/(D$13*C4)</f>
        <v>151.4588734692162</v>
      </c>
      <c r="C35" s="7">
        <f>(C$7*K$26*K$26)/(D$13*C4)</f>
        <v>234.01303889936335</v>
      </c>
      <c r="D35" s="7">
        <f t="shared" ref="D35" si="5">(B35*B35)/(2*C35)</f>
        <v>49.013914909308184</v>
      </c>
    </row>
  </sheetData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3"/>
  <sheetViews>
    <sheetView workbookViewId="0">
      <selection activeCell="A3" sqref="A3"/>
    </sheetView>
  </sheetViews>
  <sheetFormatPr defaultRowHeight="15" x14ac:dyDescent="0.25"/>
  <cols>
    <col min="1" max="1" width="19.7109375" bestFit="1" customWidth="1"/>
    <col min="2" max="2" width="18.42578125" bestFit="1" customWidth="1"/>
    <col min="3" max="3" width="15.42578125" bestFit="1" customWidth="1"/>
    <col min="4" max="4" width="17.42578125" bestFit="1" customWidth="1"/>
    <col min="5" max="5" width="16.7109375" bestFit="1" customWidth="1"/>
    <col min="6" max="6" width="18.5703125" bestFit="1" customWidth="1"/>
    <col min="7" max="7" width="6.28515625" bestFit="1" customWidth="1"/>
    <col min="8" max="8" width="15.140625" bestFit="1" customWidth="1"/>
    <col min="10" max="10" width="5.42578125" bestFit="1" customWidth="1"/>
    <col min="11" max="11" width="10" bestFit="1" customWidth="1"/>
  </cols>
  <sheetData>
    <row r="1" spans="1:8" x14ac:dyDescent="0.25">
      <c r="A1" t="s">
        <v>14</v>
      </c>
      <c r="B1" s="2">
        <v>10125</v>
      </c>
    </row>
    <row r="2" spans="1:8" x14ac:dyDescent="0.25">
      <c r="A2" t="s">
        <v>15</v>
      </c>
      <c r="B2" s="2" t="s">
        <v>29</v>
      </c>
    </row>
    <row r="3" spans="1:8" x14ac:dyDescent="0.25">
      <c r="B3" t="s">
        <v>17</v>
      </c>
      <c r="C3" t="s">
        <v>18</v>
      </c>
    </row>
    <row r="4" spans="1:8" x14ac:dyDescent="0.25">
      <c r="A4" t="s">
        <v>30</v>
      </c>
      <c r="B4" s="2"/>
      <c r="C4" s="1">
        <f>B4/25.4</f>
        <v>0</v>
      </c>
    </row>
    <row r="5" spans="1:8" x14ac:dyDescent="0.25">
      <c r="A5" t="s">
        <v>16</v>
      </c>
      <c r="B5" s="2">
        <v>1761</v>
      </c>
      <c r="C5" s="1">
        <f t="shared" ref="C5" si="0">B5/25.4</f>
        <v>69.330708661417333</v>
      </c>
    </row>
    <row r="6" spans="1:8" x14ac:dyDescent="0.25">
      <c r="B6" t="s">
        <v>21</v>
      </c>
      <c r="C6" t="s">
        <v>22</v>
      </c>
    </row>
    <row r="7" spans="1:8" x14ac:dyDescent="0.25">
      <c r="A7" t="s">
        <v>19</v>
      </c>
      <c r="B7" s="2">
        <v>1517.2</v>
      </c>
      <c r="C7" s="1">
        <f>B7*2.20462</f>
        <v>3344.8494639999999</v>
      </c>
    </row>
    <row r="8" spans="1:8" x14ac:dyDescent="0.25">
      <c r="A8" t="s">
        <v>20</v>
      </c>
      <c r="B8" s="2">
        <v>1357</v>
      </c>
      <c r="C8" s="1">
        <f>B8*2.20462</f>
        <v>2991.6693399999999</v>
      </c>
    </row>
    <row r="9" spans="1:8" x14ac:dyDescent="0.25">
      <c r="B9" t="s">
        <v>25</v>
      </c>
      <c r="C9" t="s">
        <v>26</v>
      </c>
      <c r="D9" s="1" t="s">
        <v>27</v>
      </c>
    </row>
    <row r="10" spans="1:8" x14ac:dyDescent="0.25">
      <c r="A10" t="s">
        <v>23</v>
      </c>
      <c r="B10" s="2">
        <v>0</v>
      </c>
      <c r="C10" s="1">
        <f>B10/1.609344</f>
        <v>0</v>
      </c>
      <c r="D10" s="1">
        <f>C10*17.6</f>
        <v>0</v>
      </c>
      <c r="G10" t="s">
        <v>26</v>
      </c>
      <c r="H10" s="1" t="s">
        <v>27</v>
      </c>
    </row>
    <row r="11" spans="1:8" x14ac:dyDescent="0.25">
      <c r="A11" t="s">
        <v>24</v>
      </c>
      <c r="B11" s="2">
        <v>79.239999999999995</v>
      </c>
      <c r="C11" s="1">
        <f>B11/1.609344</f>
        <v>49.237453272886334</v>
      </c>
      <c r="D11" s="1">
        <f>C11*17.6</f>
        <v>866.57917760279952</v>
      </c>
      <c r="F11" t="s">
        <v>45</v>
      </c>
      <c r="G11">
        <f>((C8*C11*C11)/(C8+C7))^0.5</f>
        <v>33.831948650133839</v>
      </c>
      <c r="H11" s="1">
        <f>G11*17.6</f>
        <v>595.44229624235561</v>
      </c>
    </row>
    <row r="12" spans="1:8" ht="18.75" x14ac:dyDescent="0.3">
      <c r="A12" t="s">
        <v>28</v>
      </c>
      <c r="C12" s="2">
        <v>5</v>
      </c>
      <c r="D12" s="1">
        <f>C12*17.6</f>
        <v>88</v>
      </c>
      <c r="F12" s="3" t="s">
        <v>31</v>
      </c>
      <c r="H12" s="4">
        <f>D12</f>
        <v>88</v>
      </c>
    </row>
    <row r="13" spans="1:8" ht="18.75" x14ac:dyDescent="0.3">
      <c r="A13" t="s">
        <v>49</v>
      </c>
      <c r="C13" s="2">
        <v>32.200000000000003</v>
      </c>
      <c r="D13" s="1">
        <f>C13*12</f>
        <v>386.40000000000003</v>
      </c>
      <c r="F13" s="3"/>
      <c r="G13" s="4"/>
    </row>
    <row r="15" spans="1:8" x14ac:dyDescent="0.25">
      <c r="B15" t="s">
        <v>0</v>
      </c>
      <c r="C15" t="s">
        <v>1</v>
      </c>
      <c r="F15" t="s">
        <v>32</v>
      </c>
      <c r="H15" t="s">
        <v>33</v>
      </c>
    </row>
    <row r="16" spans="1:8" x14ac:dyDescent="0.25">
      <c r="A16" t="s">
        <v>2</v>
      </c>
      <c r="B16" s="2"/>
      <c r="C16" s="1">
        <f>B16/25.4</f>
        <v>0</v>
      </c>
      <c r="F16" s="1">
        <f>C16</f>
        <v>0</v>
      </c>
    </row>
    <row r="17" spans="1:11" x14ac:dyDescent="0.25">
      <c r="A17" t="s">
        <v>3</v>
      </c>
      <c r="B17" s="2"/>
      <c r="C17" s="1">
        <f t="shared" ref="C17:C21" si="1">B17/25.4</f>
        <v>0</v>
      </c>
      <c r="F17" s="1">
        <f>C17*2</f>
        <v>0</v>
      </c>
      <c r="H17" s="1">
        <f>(C16+C17)/2</f>
        <v>0</v>
      </c>
    </row>
    <row r="18" spans="1:11" x14ac:dyDescent="0.25">
      <c r="A18" t="s">
        <v>4</v>
      </c>
      <c r="B18" s="2"/>
      <c r="C18" s="1">
        <f t="shared" si="1"/>
        <v>0</v>
      </c>
      <c r="F18" s="1">
        <f t="shared" ref="F18:F20" si="2">C18*2</f>
        <v>0</v>
      </c>
      <c r="H18" s="1">
        <f t="shared" ref="H18:H21" si="3">(C17+C18)/2</f>
        <v>0</v>
      </c>
    </row>
    <row r="19" spans="1:11" x14ac:dyDescent="0.25">
      <c r="A19" t="s">
        <v>5</v>
      </c>
      <c r="B19" s="2"/>
      <c r="C19" s="1">
        <f t="shared" si="1"/>
        <v>0</v>
      </c>
      <c r="F19" s="1">
        <f t="shared" si="2"/>
        <v>0</v>
      </c>
      <c r="H19" s="1">
        <f t="shared" si="3"/>
        <v>0</v>
      </c>
    </row>
    <row r="20" spans="1:11" x14ac:dyDescent="0.25">
      <c r="A20" t="s">
        <v>6</v>
      </c>
      <c r="B20" s="2"/>
      <c r="C20" s="1">
        <f t="shared" si="1"/>
        <v>0</v>
      </c>
      <c r="F20" s="1">
        <f t="shared" si="2"/>
        <v>0</v>
      </c>
      <c r="H20" s="1">
        <f t="shared" si="3"/>
        <v>0</v>
      </c>
    </row>
    <row r="21" spans="1:11" x14ac:dyDescent="0.25">
      <c r="A21" t="s">
        <v>7</v>
      </c>
      <c r="B21" s="2"/>
      <c r="C21" s="1">
        <f t="shared" si="1"/>
        <v>0</v>
      </c>
      <c r="F21" s="1">
        <f t="shared" ref="F21" si="4">C21</f>
        <v>0</v>
      </c>
      <c r="H21" s="1">
        <f t="shared" si="3"/>
        <v>0</v>
      </c>
    </row>
    <row r="22" spans="1:11" ht="18.75" x14ac:dyDescent="0.3">
      <c r="E22" s="3" t="s">
        <v>34</v>
      </c>
      <c r="F22" s="4">
        <f>SUM(F16:F21)/10</f>
        <v>0</v>
      </c>
      <c r="G22" s="3"/>
      <c r="H22" s="4">
        <f>AVERAGE(H17:H21)</f>
        <v>0</v>
      </c>
      <c r="J22" s="3" t="s">
        <v>35</v>
      </c>
      <c r="K22" s="4" t="e">
        <f>((G11*17.6)-H12)/F22</f>
        <v>#DIV/0!</v>
      </c>
    </row>
    <row r="24" spans="1:11" x14ac:dyDescent="0.25">
      <c r="B24" t="s">
        <v>8</v>
      </c>
      <c r="C24" t="s">
        <v>9</v>
      </c>
      <c r="D24" t="s">
        <v>0</v>
      </c>
      <c r="E24" t="s">
        <v>1</v>
      </c>
    </row>
    <row r="25" spans="1:11" x14ac:dyDescent="0.25">
      <c r="A25" t="s">
        <v>10</v>
      </c>
      <c r="B25" s="2">
        <v>4543</v>
      </c>
      <c r="C25" s="2">
        <v>3803</v>
      </c>
      <c r="D25">
        <f>B25-C25</f>
        <v>740</v>
      </c>
      <c r="E25" s="1">
        <f>D25/25.4</f>
        <v>29.133858267716537</v>
      </c>
      <c r="F25" s="1">
        <f>E25</f>
        <v>29.133858267716537</v>
      </c>
    </row>
    <row r="26" spans="1:11" x14ac:dyDescent="0.25">
      <c r="A26" t="s">
        <v>11</v>
      </c>
      <c r="B26" s="2">
        <v>4646</v>
      </c>
      <c r="C26" s="2">
        <v>4013</v>
      </c>
      <c r="D26">
        <f t="shared" ref="D26:D27" si="5">B26-C26</f>
        <v>633</v>
      </c>
      <c r="E26" s="1">
        <f t="shared" ref="E26:E27" si="6">D26/25.4</f>
        <v>24.921259842519685</v>
      </c>
      <c r="F26" s="1">
        <f>E26*2</f>
        <v>49.84251968503937</v>
      </c>
      <c r="H26" s="1">
        <f>(E25+E26)/2</f>
        <v>27.027559055118111</v>
      </c>
    </row>
    <row r="27" spans="1:11" x14ac:dyDescent="0.25">
      <c r="A27" t="s">
        <v>12</v>
      </c>
      <c r="B27" s="2">
        <v>4546</v>
      </c>
      <c r="C27" s="2">
        <v>4156</v>
      </c>
      <c r="D27">
        <f t="shared" si="5"/>
        <v>390</v>
      </c>
      <c r="E27" s="1">
        <f t="shared" si="6"/>
        <v>15.354330708661418</v>
      </c>
      <c r="F27" s="1">
        <f t="shared" ref="F27" si="7">E27</f>
        <v>15.354330708661418</v>
      </c>
      <c r="H27" s="1">
        <f>(E26+E27)/2</f>
        <v>20.137795275590552</v>
      </c>
    </row>
    <row r="28" spans="1:11" ht="18.75" x14ac:dyDescent="0.3">
      <c r="E28" s="3" t="s">
        <v>34</v>
      </c>
      <c r="F28" s="4">
        <f>SUM(F25:F27)/4</f>
        <v>23.582677165354333</v>
      </c>
      <c r="G28" s="3"/>
      <c r="H28" s="4">
        <f>AVERAGE(H26:H27)</f>
        <v>23.582677165354333</v>
      </c>
      <c r="J28" s="3" t="s">
        <v>35</v>
      </c>
      <c r="K28" s="4">
        <f>((G11*17.6)-D12)/F28</f>
        <v>21.517586518457147</v>
      </c>
    </row>
    <row r="30" spans="1:11" x14ac:dyDescent="0.25">
      <c r="B30" t="s">
        <v>0</v>
      </c>
      <c r="C30" t="s">
        <v>1</v>
      </c>
    </row>
    <row r="31" spans="1:11" ht="18.75" x14ac:dyDescent="0.3">
      <c r="A31" t="s">
        <v>13</v>
      </c>
      <c r="B31" s="2">
        <v>740</v>
      </c>
      <c r="C31" s="1">
        <f>B31/25.4</f>
        <v>29.133858267716537</v>
      </c>
      <c r="E31" s="3" t="s">
        <v>34</v>
      </c>
      <c r="F31" s="4">
        <f>C31</f>
        <v>29.133858267716537</v>
      </c>
      <c r="J31" s="3" t="s">
        <v>35</v>
      </c>
      <c r="K31" s="4">
        <f>((G11*17.6)-D12)/F31</f>
        <v>17.417613952102474</v>
      </c>
    </row>
    <row r="32" spans="1:11" ht="18.75" x14ac:dyDescent="0.3">
      <c r="B32" s="2"/>
      <c r="C32" s="1"/>
      <c r="E32" s="3"/>
      <c r="F32" s="4"/>
      <c r="J32" s="3"/>
      <c r="K32" s="4"/>
    </row>
    <row r="33" spans="1:11" ht="18.75" x14ac:dyDescent="0.3">
      <c r="B33" s="2"/>
      <c r="C33" s="1"/>
      <c r="E33" s="3"/>
      <c r="F33" s="4"/>
      <c r="J33" s="3"/>
      <c r="K33" s="4"/>
    </row>
    <row r="34" spans="1:11" ht="21" x14ac:dyDescent="0.35">
      <c r="A34" s="8" t="s">
        <v>48</v>
      </c>
      <c r="B34" s="8"/>
      <c r="C34" s="8"/>
      <c r="D34" s="8"/>
    </row>
    <row r="35" spans="1:11" ht="21" x14ac:dyDescent="0.35">
      <c r="A35" s="8"/>
      <c r="B35" s="9" t="s">
        <v>42</v>
      </c>
      <c r="C35" s="9" t="s">
        <v>43</v>
      </c>
      <c r="D35" s="9" t="s">
        <v>44</v>
      </c>
    </row>
    <row r="36" spans="1:11" ht="15.75" x14ac:dyDescent="0.25">
      <c r="A36" s="5" t="s">
        <v>36</v>
      </c>
      <c r="B36" s="7" t="e">
        <f>(C$7*H$12*K$22)/(D$13*C5)</f>
        <v>#DIV/0!</v>
      </c>
      <c r="C36" s="7" t="e">
        <f>(C$7*K$22*K$22)/(D$13*C5)</f>
        <v>#DIV/0!</v>
      </c>
      <c r="D36" s="7" t="e">
        <f>(B36*B36)/(2*C36)</f>
        <v>#DIV/0!</v>
      </c>
    </row>
    <row r="37" spans="1:11" ht="15.75" x14ac:dyDescent="0.25">
      <c r="A37" s="5" t="s">
        <v>37</v>
      </c>
      <c r="B37" s="7" t="e">
        <f>(C$7*H$12*K$22)/(D$13*C4)</f>
        <v>#DIV/0!</v>
      </c>
      <c r="C37" s="7" t="e">
        <f>(C$7*K$22*K$22)/(D$13*C4)</f>
        <v>#DIV/0!</v>
      </c>
      <c r="D37" s="7" t="e">
        <f>(B37*B37)/(2*C37)</f>
        <v>#DIV/0!</v>
      </c>
    </row>
    <row r="38" spans="1:11" ht="15.75" x14ac:dyDescent="0.25">
      <c r="A38" s="5"/>
      <c r="B38" s="6"/>
      <c r="C38" s="7"/>
      <c r="D38" s="7"/>
    </row>
    <row r="39" spans="1:11" ht="15.75" x14ac:dyDescent="0.25">
      <c r="A39" s="5" t="s">
        <v>38</v>
      </c>
      <c r="B39" s="7">
        <f>(C$7*H$12*K$28)/(D$13*C5)</f>
        <v>236.42317750189105</v>
      </c>
      <c r="C39" s="7">
        <f>(C$7*K$28*K$28)/(D$13*C5)</f>
        <v>57.809729282562415</v>
      </c>
      <c r="D39" s="7">
        <f t="shared" ref="D39:D40" si="8">(B39*B39)/(2*C39)</f>
        <v>483.44733277406112</v>
      </c>
    </row>
    <row r="40" spans="1:11" ht="15.75" x14ac:dyDescent="0.25">
      <c r="A40" s="5" t="s">
        <v>39</v>
      </c>
      <c r="B40" s="7" t="e">
        <f>(C$7*H$12*K$28)/(D$13*C4)</f>
        <v>#DIV/0!</v>
      </c>
      <c r="C40" s="7" t="e">
        <f>(C$7*K$28*K$28)/(D$13*C4)</f>
        <v>#DIV/0!</v>
      </c>
      <c r="D40" s="7" t="e">
        <f t="shared" si="8"/>
        <v>#DIV/0!</v>
      </c>
    </row>
    <row r="41" spans="1:11" ht="15.75" x14ac:dyDescent="0.25">
      <c r="A41" s="5"/>
      <c r="B41" s="6"/>
      <c r="C41" s="7"/>
      <c r="D41" s="7"/>
    </row>
    <row r="42" spans="1:11" ht="15.75" x14ac:dyDescent="0.25">
      <c r="A42" s="5" t="s">
        <v>40</v>
      </c>
      <c r="B42" s="7">
        <f>(C$7*H$12*K$31)/(D$13*C5)</f>
        <v>191.37497746436856</v>
      </c>
      <c r="C42" s="7">
        <f>(C$7*K$31*K$31)/(D$13*C5)</f>
        <v>37.878357699621397</v>
      </c>
      <c r="D42" s="7">
        <f t="shared" ref="D42:D43" si="9">(B42*B42)/(2*C42)</f>
        <v>483.44733277406118</v>
      </c>
    </row>
    <row r="43" spans="1:11" ht="15.75" x14ac:dyDescent="0.25">
      <c r="A43" s="5" t="s">
        <v>41</v>
      </c>
      <c r="B43" s="7" t="e">
        <f>(C$7*H$12*K$31)/(D$13*C4)</f>
        <v>#DIV/0!</v>
      </c>
      <c r="C43" s="7" t="e">
        <f>(C$7*K$31*K$31)/(D$13*C4)</f>
        <v>#DIV/0!</v>
      </c>
      <c r="D43" s="7" t="e">
        <f t="shared" si="9"/>
        <v>#DIV/0!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Front</vt:lpstr>
      <vt:lpstr>Side</vt:lpstr>
      <vt:lpstr>Rear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Vomhof</dc:creator>
  <cp:lastModifiedBy>Daniel</cp:lastModifiedBy>
  <cp:lastPrinted>2025-02-24T03:22:21Z</cp:lastPrinted>
  <dcterms:created xsi:type="dcterms:W3CDTF">2025-02-22T21:13:46Z</dcterms:created>
  <dcterms:modified xsi:type="dcterms:W3CDTF">2025-02-24T03:24:16Z</dcterms:modified>
</cp:coreProperties>
</file>